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2510" windowHeight="7560"/>
  </bookViews>
  <sheets>
    <sheet name="DTSV OPERATIVO" sheetId="8" r:id="rId1"/>
  </sheets>
  <externalReferences>
    <externalReference r:id="rId2"/>
  </externalReferences>
  <definedNames>
    <definedName name="_xlnm._FilterDatabase" localSheetId="0" hidden="1">'DTSV OPERATIVO'!$A$3:$F$132</definedName>
    <definedName name="_ftn1" localSheetId="0">'DTSV OPERATIVO'!$A$171</definedName>
    <definedName name="_ftnref1" localSheetId="0">'DTSV OPERATIVO'!$A$157</definedName>
  </definedNames>
  <calcPr calcId="145621"/>
</workbook>
</file>

<file path=xl/calcChain.xml><?xml version="1.0" encoding="utf-8"?>
<calcChain xmlns="http://schemas.openxmlformats.org/spreadsheetml/2006/main">
  <c r="F46" i="8" l="1"/>
  <c r="D127" i="8"/>
  <c r="D109" i="8"/>
  <c r="D106" i="8"/>
  <c r="D21" i="8"/>
  <c r="D46" i="8"/>
  <c r="F108" i="8"/>
  <c r="D108" i="8"/>
  <c r="F105" i="8"/>
  <c r="D105" i="8"/>
  <c r="F134" i="8"/>
  <c r="F73" i="8"/>
  <c r="D73" i="8"/>
  <c r="F72" i="8"/>
  <c r="D72" i="8"/>
  <c r="F82" i="8"/>
  <c r="D82" i="8"/>
  <c r="F37" i="8"/>
  <c r="F106" i="8"/>
  <c r="F57" i="8"/>
  <c r="D57" i="8"/>
  <c r="D134" i="8"/>
  <c r="F109" i="8"/>
  <c r="F24" i="8"/>
  <c r="F75" i="8"/>
  <c r="D75" i="8"/>
  <c r="F91" i="8"/>
  <c r="D91" i="8"/>
  <c r="F127" i="8"/>
  <c r="E105" i="8" l="1"/>
  <c r="E90" i="8"/>
  <c r="E60" i="8"/>
  <c r="E46" i="8"/>
  <c r="F131" i="8" l="1"/>
  <c r="D131" i="8"/>
  <c r="F126" i="8"/>
  <c r="F25" i="8"/>
  <c r="D25" i="8"/>
  <c r="F34" i="8"/>
  <c r="D34" i="8"/>
  <c r="E103" i="8"/>
  <c r="E75" i="8"/>
  <c r="E67" i="8"/>
  <c r="E50" i="8"/>
  <c r="E41" i="8"/>
  <c r="E37" i="8"/>
  <c r="E29" i="8"/>
  <c r="E28" i="8"/>
  <c r="E13" i="8"/>
  <c r="E9" i="8"/>
  <c r="E132" i="8"/>
  <c r="E131" i="8"/>
  <c r="E125" i="8"/>
  <c r="F121" i="8"/>
  <c r="E121" i="8"/>
  <c r="D121" i="8"/>
  <c r="F116" i="8"/>
  <c r="E116" i="8"/>
  <c r="D116" i="8"/>
  <c r="F114" i="8"/>
  <c r="E114" i="8"/>
  <c r="D114" i="8"/>
  <c r="E113" i="8"/>
  <c r="F112" i="8"/>
  <c r="D112" i="8"/>
  <c r="E108" i="8"/>
  <c r="F103" i="8"/>
  <c r="D103" i="8"/>
  <c r="E101" i="8"/>
  <c r="F100" i="8"/>
  <c r="D100" i="8"/>
  <c r="F99" i="8"/>
  <c r="D99" i="8"/>
  <c r="E97" i="8"/>
  <c r="E94" i="8"/>
  <c r="E92" i="8"/>
  <c r="E91" i="8"/>
  <c r="F88" i="8"/>
  <c r="D88" i="8"/>
  <c r="F85" i="8"/>
  <c r="D85" i="8"/>
  <c r="E82" i="8"/>
  <c r="E81" i="8"/>
  <c r="E72" i="8"/>
  <c r="E70" i="8"/>
  <c r="E69" i="8"/>
  <c r="E61" i="8"/>
  <c r="D60" i="8"/>
  <c r="E57" i="8"/>
  <c r="E54" i="8"/>
  <c r="F53" i="8"/>
  <c r="D53" i="8"/>
  <c r="E51" i="8"/>
  <c r="F44" i="8"/>
  <c r="E44" i="8"/>
  <c r="D44" i="8"/>
  <c r="F42" i="8"/>
  <c r="D42" i="8"/>
  <c r="F41" i="8"/>
  <c r="D41" i="8"/>
  <c r="F36" i="8"/>
  <c r="E36" i="8"/>
  <c r="F33" i="8"/>
  <c r="D33" i="8"/>
  <c r="E32" i="8"/>
  <c r="F29" i="8"/>
  <c r="D29" i="8"/>
  <c r="E26" i="8"/>
  <c r="E24" i="8"/>
  <c r="F22" i="8"/>
  <c r="D22" i="8"/>
  <c r="F21" i="8"/>
  <c r="E21" i="8"/>
  <c r="E19" i="8"/>
  <c r="D14" i="8"/>
  <c r="F12" i="8"/>
  <c r="F136" i="8" s="1"/>
  <c r="E12" i="8"/>
  <c r="D12" i="8"/>
  <c r="E10" i="8"/>
  <c r="E136" i="8" l="1"/>
  <c r="D136" i="8"/>
</calcChain>
</file>

<file path=xl/sharedStrings.xml><?xml version="1.0" encoding="utf-8"?>
<sst xmlns="http://schemas.openxmlformats.org/spreadsheetml/2006/main" count="143" uniqueCount="143">
  <si>
    <t># Región</t>
  </si>
  <si>
    <t># Mun</t>
  </si>
  <si>
    <t>Municipio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</si>
  <si>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</si>
  <si>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</si>
  <si>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</si>
  <si>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</si>
  <si>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</si>
  <si>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</si>
  <si>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</si>
  <si>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ARENAL EL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</si>
  <si>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</si>
  <si>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</si>
  <si>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</si>
  <si>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</si>
  <si>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</si>
  <si>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</si>
  <si>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</si>
  <si>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</si>
  <si>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BARCA LA</t>
  </si>
  <si>
    <t>BOLAÑOS</t>
  </si>
  <si>
    <t>CABO CORRIENTES</t>
  </si>
  <si>
    <t>CAÑADAS DE OBREGÓN</t>
  </si>
  <si>
    <t>CASIMIRO CASTILLO (LA RESOLANA)</t>
  </si>
  <si>
    <t>CHAPALA</t>
  </si>
  <si>
    <t>CHIMALTITAN</t>
  </si>
  <si>
    <t>CHIQUILISTLÁN</t>
  </si>
  <si>
    <t>CIHUATLÁN</t>
  </si>
  <si>
    <t>COCULA</t>
  </si>
  <si>
    <t>COLOTLÁN</t>
  </si>
  <si>
    <t>CONCEPCIÓN DE BUENOS AIRES</t>
  </si>
  <si>
    <t>CUAUTITLÁN DE GARCÍA BARRAGÁN</t>
  </si>
  <si>
    <t>CUAUTLA</t>
  </si>
  <si>
    <t>CUQUIO</t>
  </si>
  <si>
    <t>DEGOLLADO</t>
  </si>
  <si>
    <t>EJUTLA</t>
  </si>
  <si>
    <t>ENCARNACIÓN DE DÍAZ</t>
  </si>
  <si>
    <t>ETZATLÁN</t>
  </si>
  <si>
    <t>GÓMEZ FARÍAS</t>
  </si>
  <si>
    <t>GRULLO EL</t>
  </si>
  <si>
    <t>GUACHINANGO</t>
  </si>
  <si>
    <t>GUADALAJARA</t>
  </si>
  <si>
    <t>HOSTOTIPAQUILLO</t>
  </si>
  <si>
    <t>HUEJUCAR</t>
  </si>
  <si>
    <t>HUEJUQUILLA EL ALTO</t>
  </si>
  <si>
    <t>HUERTA LA</t>
  </si>
  <si>
    <t>IXTLAHUACÁN DE LOS MEMBRILLOS</t>
  </si>
  <si>
    <t>IXTLAHUACÁN DEL RÍO</t>
  </si>
  <si>
    <t>JALOSTOTITLÁN</t>
  </si>
  <si>
    <t>JAMAY</t>
  </si>
  <si>
    <t>JESUS MARÍA</t>
  </si>
  <si>
    <t>JILOTÁN DE LOS DOLORES</t>
  </si>
  <si>
    <t>JOCOTEPEC</t>
  </si>
  <si>
    <t>JUANACATLÁN</t>
  </si>
  <si>
    <t>JUCHITLÁN</t>
  </si>
  <si>
    <t>LAGOS DE MORENO</t>
  </si>
  <si>
    <t>LIMÓN EL</t>
  </si>
  <si>
    <t>MAGDALENA</t>
  </si>
  <si>
    <t>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</si>
  <si>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</si>
  <si>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</si>
  <si>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</si>
  <si>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</si>
  <si>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</si>
  <si>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</si>
  <si>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</si>
  <si>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</si>
  <si>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</si>
  <si>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</si>
  <si>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</si>
  <si>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SALTO EL</t>
  </si>
  <si>
    <t>SAN CRISTÓBAL DE LA BARRANCA</t>
  </si>
  <si>
    <t>SAN DIEGO DE ALEJANDRÍA</t>
  </si>
  <si>
    <t>SAN GABRIEL (VENUSTIANO CARRAN</t>
  </si>
  <si>
    <t>SAN IGNACIO CERRO GORDO</t>
  </si>
  <si>
    <t>SAN JUAN DE LOS LAGOS</t>
  </si>
  <si>
    <t>SAN JUANITO DE ESCOBEDO</t>
  </si>
  <si>
    <t>SAN JULIÁN</t>
  </si>
  <si>
    <t>SAN MARCOS</t>
  </si>
  <si>
    <t>SAN MARTÍN DE BOLAÑOS</t>
  </si>
  <si>
    <t>SAN MARTÍN HIDALGO</t>
  </si>
  <si>
    <t>SAN MIGUEL EL ALTO</t>
  </si>
  <si>
    <t>SAN SEBASTIÁN DEL OESTE</t>
  </si>
  <si>
    <t>SANTA MARÍA DE LOS ÁNGELES</t>
  </si>
  <si>
    <t>SANTA MARÍA DEL ORO (MANUEL M. DIEGUEZ)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</si>
  <si>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</si>
  <si>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</si>
  <si>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</si>
  <si>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</si>
  <si>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</si>
  <si>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</si>
  <si>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</si>
  <si>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</si>
  <si>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</si>
  <si>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</si>
  <si>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</si>
  <si>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TEPATITLAN DE MORELOS</t>
  </si>
  <si>
    <t>TEQUILA</t>
  </si>
  <si>
    <t>TEUCHITLÁN</t>
  </si>
  <si>
    <t>TIZAPÁN EL ALTO</t>
  </si>
  <si>
    <t>TLAJOMULCO DE ZUÑIGA</t>
  </si>
  <si>
    <t>TLAQUEPAQUE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</si>
  <si>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</si>
  <si>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</si>
  <si>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</si>
  <si>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</si>
  <si>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</si>
  <si>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</si>
  <si>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</si>
  <si>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</si>
  <si>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</si>
  <si>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</si>
  <si>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</si>
  <si>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</si>
  <si>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</si>
  <si>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</si>
  <si>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</si>
  <si>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</si>
  <si>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</si>
  <si>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</si>
  <si>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</si>
  <si>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</si>
  <si>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</si>
  <si>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</si>
  <si>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</si>
  <si>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</si>
  <si>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 (CD.GUZMÁN)</t>
  </si>
  <si>
    <t>ZAPOTLANEJO</t>
  </si>
  <si>
    <t>Apoyos Asistenciales a Familias Vulnerables</t>
  </si>
  <si>
    <t>Número de Apoyos</t>
  </si>
  <si>
    <t>Número de Beneficiarios</t>
  </si>
  <si>
    <t>Inversión ($)</t>
  </si>
  <si>
    <t>SIN DOMICILIO</t>
  </si>
  <si>
    <t>OTROS ESTADOS</t>
  </si>
  <si>
    <t>EXTRANJERO</t>
  </si>
  <si>
    <t>TOTAL</t>
  </si>
  <si>
    <t>DIRECCION DE TRABAJO SOCIAL Y VINCULACION</t>
  </si>
  <si>
    <t>PROGRAMA FAMILIAS CRITICAS Y CASOS URGENTES</t>
  </si>
  <si>
    <t>PERIODO : ENERO-DICIEMBRE 2013</t>
  </si>
  <si>
    <t>LOS APOYOS QUE SE OTORGAN DENTRO DE LOS PROGRAMAS SON:</t>
  </si>
  <si>
    <t>1.-APOYO DE RENTA, CATRE, COBIJA, DESPENSA, BECAS, ALIMENTICIAS, PEQUEÑO COMERCIO, PAGO DE ALBERGUE, ENSERES DOMESTICOS, IMPLEMENTOS DE REHABILITACION, INSUMO PARA HIGIENE, LECHE, MATERIAL DE ACONDICIONAMIENTO DE ESPACIO PARA VIVIENDA, MEDICAMENTOS E INSUMOS PARA LA SALUD,  MEDICOS Y ESTUDIOS ESPECIALIZADOS, PROTESIS, RACION ALIMENTICIA, SERVICIOS FUNERARIOS Y/O TRASLADOS DE CUERPO, SILLAS DE RUEDAS, TRANSPORTE, VESTIMENTA, PAÑALES, APARATO AUDITIVO Y APOYO ESCOLAR.</t>
  </si>
  <si>
    <t>RESPONSABLE: LTS BLANCA NINFA ALVAREZ RUIZ</t>
  </si>
  <si>
    <t>Nota: En la parte inferior se muestran los tipo de apoyos otorgados.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</si>
</sst>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;[Red]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w Cen MT"/>
      <family val="2"/>
    </font>
    <font>
      <b/>
      <sz val="8"/>
      <color theme="1"/>
      <name val="Tw Cen MT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w Cen MT"/>
      <family val="2"/>
    </font>
    <font>
      <b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0" borderId="1" xfId="0" applyBorder="1"/>
    <xf numFmtId="44" fontId="0" fillId="0" borderId="1" xfId="1" applyFont="1" applyBorder="1"/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2" fillId="11" borderId="1" xfId="0" applyFon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0" fontId="2" fillId="13" borderId="1" xfId="0" applyFont="1" applyFill="1" applyBorder="1" applyAlignment="1">
      <alignment wrapText="1"/>
    </xf>
    <xf numFmtId="0" fontId="2" fillId="14" borderId="1" xfId="0" applyFont="1" applyFill="1" applyBorder="1" applyAlignment="1">
      <alignment wrapText="1"/>
    </xf>
    <xf numFmtId="0" fontId="2" fillId="15" borderId="1" xfId="0" applyFont="1" applyFill="1" applyBorder="1" applyAlignment="1">
      <alignment wrapText="1"/>
    </xf>
    <xf numFmtId="0" fontId="2" fillId="16" borderId="1" xfId="0" applyFont="1" applyFill="1" applyBorder="1" applyAlignment="1">
      <alignment wrapText="1"/>
    </xf>
    <xf numFmtId="0" fontId="2" fillId="0" borderId="1" xfId="0" applyFont="1" applyBorder="1"/>
    <xf numFmtId="0" fontId="0" fillId="0" borderId="1" xfId="0" applyFill="1" applyBorder="1"/>
    <xf numFmtId="0" fontId="2" fillId="0" borderId="1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2" fillId="17" borderId="1" xfId="0" applyFont="1" applyFill="1" applyBorder="1"/>
    <xf numFmtId="0" fontId="4" fillId="0" borderId="1" xfId="0" applyFont="1" applyBorder="1"/>
    <xf numFmtId="8" fontId="0" fillId="0" borderId="1" xfId="0" applyNumberFormat="1" applyBorder="1"/>
    <xf numFmtId="44" fontId="0" fillId="0" borderId="1" xfId="0" applyNumberFormat="1" applyBorder="1"/>
    <xf numFmtId="0" fontId="3" fillId="2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164" fontId="0" fillId="0" borderId="0" xfId="0" applyNumberFormat="1"/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IKAGAR\AppData\Local\Microsoft\Windows\Temporary%20Internet%20Files\Content.Outlook\9TFNIWZS\INFORME%20URG%20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. SOCIOFAMILIAR"/>
      <sheetName val="FSF"/>
      <sheetName val="CASOS URGENTES"/>
      <sheetName val="CU"/>
      <sheetName val="TOTAL"/>
      <sheetName val="CORTE OCT-NOV"/>
      <sheetName val="concentrado total"/>
      <sheetName val="CORTE"/>
      <sheetName val="CONCENTRADO NOV-DIC"/>
      <sheetName val="CORTE II"/>
      <sheetName val="CONCENTRADO DIC TOTAL "/>
    </sheetNames>
    <sheetDataSet>
      <sheetData sheetId="0"/>
      <sheetData sheetId="1"/>
      <sheetData sheetId="2"/>
      <sheetData sheetId="3"/>
      <sheetData sheetId="4">
        <row r="3">
          <cell r="E3">
            <v>0</v>
          </cell>
        </row>
      </sheetData>
      <sheetData sheetId="5"/>
      <sheetData sheetId="6">
        <row r="3">
          <cell r="O3">
            <v>1</v>
          </cell>
          <cell r="AA3">
            <v>1</v>
          </cell>
        </row>
        <row r="4">
          <cell r="AA4">
            <v>1</v>
          </cell>
        </row>
        <row r="5">
          <cell r="AA5">
            <v>1</v>
          </cell>
        </row>
        <row r="6">
          <cell r="AA6">
            <v>1</v>
          </cell>
        </row>
        <row r="7">
          <cell r="AA7">
            <v>1</v>
          </cell>
        </row>
        <row r="8">
          <cell r="AA8">
            <v>1</v>
          </cell>
        </row>
        <row r="9">
          <cell r="AA9">
            <v>5</v>
          </cell>
        </row>
        <row r="10">
          <cell r="AA10">
            <v>1</v>
          </cell>
        </row>
        <row r="11">
          <cell r="AA11">
            <v>2</v>
          </cell>
        </row>
        <row r="13">
          <cell r="AA13">
            <v>1</v>
          </cell>
        </row>
        <row r="14">
          <cell r="AA14">
            <v>1</v>
          </cell>
        </row>
        <row r="15">
          <cell r="AA15">
            <v>3</v>
          </cell>
        </row>
        <row r="16">
          <cell r="AA16">
            <v>78</v>
          </cell>
        </row>
        <row r="17">
          <cell r="AA17">
            <v>2</v>
          </cell>
        </row>
        <row r="18">
          <cell r="AA18">
            <v>1</v>
          </cell>
        </row>
        <row r="19">
          <cell r="AA19">
            <v>2</v>
          </cell>
        </row>
        <row r="20">
          <cell r="AA20">
            <v>18</v>
          </cell>
        </row>
        <row r="21">
          <cell r="AA21">
            <v>1</v>
          </cell>
        </row>
        <row r="22">
          <cell r="AA22">
            <v>1</v>
          </cell>
        </row>
        <row r="24">
          <cell r="AA24">
            <v>1</v>
          </cell>
        </row>
        <row r="25">
          <cell r="AA25">
            <v>2</v>
          </cell>
        </row>
        <row r="26">
          <cell r="AA26">
            <v>1</v>
          </cell>
        </row>
        <row r="27">
          <cell r="AA27">
            <v>2</v>
          </cell>
        </row>
        <row r="28">
          <cell r="AA28">
            <v>1</v>
          </cell>
        </row>
        <row r="29">
          <cell r="AA29">
            <v>2</v>
          </cell>
        </row>
        <row r="31">
          <cell r="AA31">
            <v>1</v>
          </cell>
        </row>
        <row r="32">
          <cell r="AA32">
            <v>6</v>
          </cell>
        </row>
        <row r="34">
          <cell r="AA34">
            <v>2</v>
          </cell>
        </row>
        <row r="37">
          <cell r="AA37">
            <v>1</v>
          </cell>
        </row>
        <row r="38">
          <cell r="AA38">
            <v>1</v>
          </cell>
        </row>
        <row r="39">
          <cell r="AA39">
            <v>2</v>
          </cell>
        </row>
        <row r="40">
          <cell r="AA40">
            <v>1</v>
          </cell>
        </row>
        <row r="42">
          <cell r="AA42">
            <v>1</v>
          </cell>
        </row>
      </sheetData>
      <sheetData sheetId="7"/>
      <sheetData sheetId="8">
        <row r="22">
          <cell r="G22">
            <v>4</v>
          </cell>
        </row>
      </sheetData>
      <sheetData sheetId="9"/>
      <sheetData sheetId="10">
        <row r="24">
          <cell r="G2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53"/>
  <sheetViews>
    <sheetView showGridLines="0" tabSelected="1" workbookViewId="0">
      <pane xSplit="3" ySplit="7" topLeftCell="D8" activePane="bottomRight" state="frozen"/>
      <selection pane="topRight" activeCell="D1" sqref="D1"/>
      <selection pane="bottomLeft" activeCell="A5" sqref="A5"/>
      <selection pane="bottomRight" activeCell="A5" sqref="A5:F5"/>
    </sheetView>
  </sheetViews>
  <sheetFormatPr baseColWidth="10" defaultRowHeight="15" x14ac:dyDescent="0.25"/>
  <cols>
    <col min="1" max="1" width="7.5703125" style="1" bestFit="1" customWidth="1"/>
    <col min="2" max="2" width="5.85546875" style="1" bestFit="1" customWidth="1"/>
    <col min="3" max="3" width="19.140625" style="1" customWidth="1"/>
    <col min="6" max="6" width="14.140625" bestFit="1" customWidth="1"/>
  </cols>
  <sheetData>
    <row r="1" spans="1:6" ht="26.25" customHeight="1" x14ac:dyDescent="0.25">
      <c r="A1" s="32" t="s">
        <v>136</v>
      </c>
      <c r="B1" s="32"/>
      <c r="C1" s="32"/>
      <c r="D1" s="32"/>
      <c r="E1" s="32"/>
      <c r="F1" s="32"/>
    </row>
    <row r="2" spans="1:6" ht="25.5" customHeight="1" x14ac:dyDescent="0.25">
      <c r="A2" s="32" t="s">
        <v>137</v>
      </c>
      <c r="B2" s="32"/>
      <c r="C2" s="32"/>
      <c r="D2" s="32"/>
      <c r="E2" s="32"/>
      <c r="F2" s="32"/>
    </row>
    <row r="3" spans="1:6" ht="64.5" customHeight="1" x14ac:dyDescent="0.25">
      <c r="A3" s="32" t="s">
        <v>138</v>
      </c>
      <c r="B3" s="32"/>
      <c r="C3" s="32"/>
      <c r="D3" s="32"/>
      <c r="E3" s="32"/>
      <c r="F3" s="32"/>
    </row>
    <row r="4" spans="1:6" ht="49.5" customHeight="1" x14ac:dyDescent="0.25">
      <c r="A4" s="33" t="s">
        <v>141</v>
      </c>
      <c r="B4" s="33"/>
      <c r="C4" s="33"/>
      <c r="D4" s="33"/>
      <c r="E4" s="33"/>
      <c r="F4" s="33"/>
    </row>
    <row r="5" spans="1:6" ht="49.5" customHeight="1" x14ac:dyDescent="0.25">
      <c r="A5" s="33" t="s">
        <v>142</v>
      </c>
      <c r="B5" s="33"/>
      <c r="C5" s="33"/>
      <c r="D5" s="33"/>
      <c r="E5" s="33"/>
      <c r="F5" s="33"/>
    </row>
    <row r="6" spans="1:6" ht="33.75" customHeight="1" x14ac:dyDescent="0.25">
      <c r="D6" s="34" t="s">
        <v>128</v>
      </c>
      <c r="E6" s="34"/>
      <c r="F6" s="34"/>
    </row>
    <row r="7" spans="1:6" ht="22.5" x14ac:dyDescent="0.25">
      <c r="A7" s="2" t="s">
        <v>0</v>
      </c>
      <c r="B7" s="2" t="s">
        <v>1</v>
      </c>
      <c r="C7" s="3" t="s">
        <v>2</v>
      </c>
      <c r="D7" s="28" t="s">
        <v>129</v>
      </c>
      <c r="E7" s="28" t="s">
        <v>130</v>
      </c>
      <c r="F7" s="28" t="s">
        <v>131</v>
      </c>
    </row>
    <row r="8" spans="1:6" ht="14.45" x14ac:dyDescent="0.3">
      <c r="A8" s="4">
        <v>3</v>
      </c>
      <c r="B8" s="5">
        <v>1</v>
      </c>
      <c r="C8" s="5" t="s">
        <v>3</v>
      </c>
      <c r="D8" s="6">
        <v>0</v>
      </c>
      <c r="E8" s="6">
        <v>0</v>
      </c>
      <c r="F8" s="7">
        <v>0</v>
      </c>
    </row>
    <row r="9" spans="1:6" x14ac:dyDescent="0.25">
      <c r="A9" s="8">
        <v>12</v>
      </c>
      <c r="B9" s="5">
        <v>2</v>
      </c>
      <c r="C9" s="5" t="s">
        <v>4</v>
      </c>
      <c r="D9" s="6">
        <v>2</v>
      </c>
      <c r="E9" s="29">
        <f>SUM(4,'[1]concentrado total'!$AA$3+1)</f>
        <v>6</v>
      </c>
      <c r="F9" s="7">
        <v>5861.68</v>
      </c>
    </row>
    <row r="10" spans="1:6" ht="14.45" x14ac:dyDescent="0.3">
      <c r="A10" s="9">
        <v>11</v>
      </c>
      <c r="B10" s="5">
        <v>3</v>
      </c>
      <c r="C10" s="5" t="s">
        <v>5</v>
      </c>
      <c r="D10" s="6">
        <v>2</v>
      </c>
      <c r="E10" s="6">
        <f>SUM(2,'[1]concentrado total'!$AA$4)</f>
        <v>3</v>
      </c>
      <c r="F10" s="7">
        <v>2600</v>
      </c>
    </row>
    <row r="11" spans="1:6" ht="14.45" x14ac:dyDescent="0.3">
      <c r="A11" s="10">
        <v>6</v>
      </c>
      <c r="B11" s="5">
        <v>4</v>
      </c>
      <c r="C11" s="5" t="s">
        <v>6</v>
      </c>
      <c r="D11" s="6">
        <v>9</v>
      </c>
      <c r="E11" s="6">
        <v>7</v>
      </c>
      <c r="F11" s="7">
        <v>51731.6</v>
      </c>
    </row>
    <row r="12" spans="1:6" x14ac:dyDescent="0.25">
      <c r="A12" s="9">
        <v>11</v>
      </c>
      <c r="B12" s="5">
        <v>5</v>
      </c>
      <c r="C12" s="5" t="s">
        <v>7</v>
      </c>
      <c r="D12" s="6">
        <f>SUM(1+1)</f>
        <v>2</v>
      </c>
      <c r="E12" s="6">
        <f>SUM(1,'[1]concentrado total'!$AA$5)</f>
        <v>2</v>
      </c>
      <c r="F12" s="7">
        <f>SUM(11000+1042)</f>
        <v>12042</v>
      </c>
    </row>
    <row r="13" spans="1:6" ht="14.45" x14ac:dyDescent="0.3">
      <c r="A13" s="9">
        <v>11</v>
      </c>
      <c r="B13" s="5">
        <v>6</v>
      </c>
      <c r="C13" s="5" t="s">
        <v>8</v>
      </c>
      <c r="D13" s="6">
        <v>0</v>
      </c>
      <c r="E13" s="6">
        <f>SUM(1+1+1)</f>
        <v>3</v>
      </c>
      <c r="F13" s="7">
        <v>0</v>
      </c>
    </row>
    <row r="14" spans="1:6" ht="14.45" x14ac:dyDescent="0.3">
      <c r="A14" s="4">
        <v>3</v>
      </c>
      <c r="B14" s="5">
        <v>8</v>
      </c>
      <c r="C14" s="5" t="s">
        <v>9</v>
      </c>
      <c r="D14" s="6">
        <f>SUM(8+[1]TOTAL!$E$3)</f>
        <v>8</v>
      </c>
      <c r="E14" s="6">
        <v>13</v>
      </c>
      <c r="F14" s="7">
        <v>19795.8</v>
      </c>
    </row>
    <row r="15" spans="1:6" ht="14.45" x14ac:dyDescent="0.3">
      <c r="A15" s="9">
        <v>11</v>
      </c>
      <c r="B15" s="5">
        <v>9</v>
      </c>
      <c r="C15" s="5" t="s">
        <v>10</v>
      </c>
      <c r="D15" s="6">
        <v>5</v>
      </c>
      <c r="E15" s="6">
        <v>6</v>
      </c>
      <c r="F15" s="7">
        <v>21245.5</v>
      </c>
    </row>
    <row r="16" spans="1:6" ht="14.45" x14ac:dyDescent="0.3">
      <c r="A16" s="10">
        <v>6</v>
      </c>
      <c r="B16" s="5">
        <v>10</v>
      </c>
      <c r="C16" s="5" t="s">
        <v>11</v>
      </c>
      <c r="D16" s="6">
        <v>10</v>
      </c>
      <c r="E16" s="6">
        <v>2</v>
      </c>
      <c r="F16" s="7">
        <v>14720</v>
      </c>
    </row>
    <row r="17" spans="1:6" ht="14.45" x14ac:dyDescent="0.3">
      <c r="A17" s="11">
        <v>7</v>
      </c>
      <c r="B17" s="5">
        <v>11</v>
      </c>
      <c r="C17" s="5" t="s">
        <v>12</v>
      </c>
      <c r="D17" s="6">
        <v>10</v>
      </c>
      <c r="E17" s="6">
        <v>5</v>
      </c>
      <c r="F17" s="7">
        <v>45427.56</v>
      </c>
    </row>
    <row r="18" spans="1:6" x14ac:dyDescent="0.25">
      <c r="A18" s="12">
        <v>10</v>
      </c>
      <c r="B18" s="5">
        <v>12</v>
      </c>
      <c r="C18" s="5" t="s">
        <v>13</v>
      </c>
      <c r="D18" s="6">
        <v>2</v>
      </c>
      <c r="E18" s="6">
        <v>2</v>
      </c>
      <c r="F18" s="7">
        <v>3400</v>
      </c>
    </row>
    <row r="19" spans="1:6" ht="14.45" x14ac:dyDescent="0.3">
      <c r="A19" s="13">
        <v>4</v>
      </c>
      <c r="B19" s="5">
        <v>13</v>
      </c>
      <c r="C19" s="5" t="s">
        <v>14</v>
      </c>
      <c r="D19" s="6">
        <v>3</v>
      </c>
      <c r="E19" s="6">
        <f>SUM(9,'[1]concentrado total'!$AA$6)</f>
        <v>10</v>
      </c>
      <c r="F19" s="7">
        <v>5370</v>
      </c>
    </row>
    <row r="20" spans="1:6" ht="14.45" x14ac:dyDescent="0.3">
      <c r="A20" s="10">
        <v>6</v>
      </c>
      <c r="B20" s="5">
        <v>14</v>
      </c>
      <c r="C20" s="5" t="s">
        <v>15</v>
      </c>
      <c r="D20" s="6">
        <v>0</v>
      </c>
      <c r="E20" s="6">
        <v>0</v>
      </c>
      <c r="F20" s="7">
        <v>0</v>
      </c>
    </row>
    <row r="21" spans="1:6" x14ac:dyDescent="0.25">
      <c r="A21" s="14">
        <v>8</v>
      </c>
      <c r="B21" s="5">
        <v>15</v>
      </c>
      <c r="C21" s="5" t="s">
        <v>16</v>
      </c>
      <c r="D21" s="6">
        <f>SUM(1+1+2+2+2+1)</f>
        <v>9</v>
      </c>
      <c r="E21" s="6">
        <f>SUM(1+'[1]concentrado total'!$AA$7)</f>
        <v>2</v>
      </c>
      <c r="F21" s="7">
        <f>SUM(218+10000)</f>
        <v>10218</v>
      </c>
    </row>
    <row r="22" spans="1:6" x14ac:dyDescent="0.25">
      <c r="A22" s="13">
        <v>4</v>
      </c>
      <c r="B22" s="5">
        <v>16</v>
      </c>
      <c r="C22" s="5" t="s">
        <v>17</v>
      </c>
      <c r="D22" s="6">
        <f>SUM(5+1+2)</f>
        <v>8</v>
      </c>
      <c r="E22" s="6">
        <v>3</v>
      </c>
      <c r="F22" s="7">
        <f>SUM(8850+5050)</f>
        <v>13900</v>
      </c>
    </row>
    <row r="23" spans="1:6" ht="14.45" x14ac:dyDescent="0.3">
      <c r="A23" s="12">
        <v>10</v>
      </c>
      <c r="B23" s="5">
        <v>17</v>
      </c>
      <c r="C23" s="5" t="s">
        <v>18</v>
      </c>
      <c r="D23" s="6"/>
      <c r="E23" s="6">
        <v>0</v>
      </c>
      <c r="F23" s="7">
        <v>0</v>
      </c>
    </row>
    <row r="24" spans="1:6" ht="14.45" x14ac:dyDescent="0.3">
      <c r="A24" s="13">
        <v>4</v>
      </c>
      <c r="B24" s="5">
        <v>18</v>
      </c>
      <c r="C24" s="5" t="s">
        <v>19</v>
      </c>
      <c r="D24" s="6">
        <v>5</v>
      </c>
      <c r="E24" s="6">
        <f>SUM(3+2)</f>
        <v>5</v>
      </c>
      <c r="F24" s="30">
        <f>3833.66+978</f>
        <v>4811.66</v>
      </c>
    </row>
    <row r="25" spans="1:6" x14ac:dyDescent="0.25">
      <c r="A25" s="15">
        <v>1</v>
      </c>
      <c r="B25" s="5">
        <v>19</v>
      </c>
      <c r="C25" s="5" t="s">
        <v>20</v>
      </c>
      <c r="D25" s="6">
        <f>SUM(3+24+1)</f>
        <v>28</v>
      </c>
      <c r="E25" s="6">
        <v>4</v>
      </c>
      <c r="F25" s="7">
        <f>SUM(2216+21916.05+2280)</f>
        <v>26412.05</v>
      </c>
    </row>
    <row r="26" spans="1:6" ht="14.45" x14ac:dyDescent="0.3">
      <c r="A26" s="16">
        <v>9</v>
      </c>
      <c r="B26" s="5">
        <v>20</v>
      </c>
      <c r="C26" s="5" t="s">
        <v>21</v>
      </c>
      <c r="D26" s="6">
        <v>5</v>
      </c>
      <c r="E26" s="6">
        <f>SUM(0,'[1]concentrado total'!$AA$8)</f>
        <v>1</v>
      </c>
      <c r="F26" s="7">
        <v>5000</v>
      </c>
    </row>
    <row r="27" spans="1:6" x14ac:dyDescent="0.25">
      <c r="A27" s="4">
        <v>3</v>
      </c>
      <c r="B27" s="5">
        <v>117</v>
      </c>
      <c r="C27" s="5" t="s">
        <v>22</v>
      </c>
      <c r="D27" s="6">
        <v>0</v>
      </c>
      <c r="E27" s="6">
        <v>2</v>
      </c>
      <c r="F27" s="7">
        <v>0</v>
      </c>
    </row>
    <row r="28" spans="1:6" ht="21.6" x14ac:dyDescent="0.3">
      <c r="A28" s="14">
        <v>8</v>
      </c>
      <c r="B28" s="5">
        <v>21</v>
      </c>
      <c r="C28" s="5" t="s">
        <v>23</v>
      </c>
      <c r="D28" s="6">
        <v>3</v>
      </c>
      <c r="E28" s="6">
        <f>SUM(3,'[1]concentrado total'!$AA$9)</f>
        <v>8</v>
      </c>
      <c r="F28" s="7">
        <v>5553</v>
      </c>
    </row>
    <row r="29" spans="1:6" ht="14.45" x14ac:dyDescent="0.3">
      <c r="A29" s="13">
        <v>4</v>
      </c>
      <c r="B29" s="5">
        <v>30</v>
      </c>
      <c r="C29" s="5" t="s">
        <v>24</v>
      </c>
      <c r="D29" s="6">
        <f>SUM(4+5)</f>
        <v>9</v>
      </c>
      <c r="E29" s="6">
        <f>SUM(7,'[1]concentrado total'!$AA$10+1)</f>
        <v>9</v>
      </c>
      <c r="F29" s="7">
        <f>SUM(15073+5000)</f>
        <v>20073</v>
      </c>
    </row>
    <row r="30" spans="1:6" ht="14.45" x14ac:dyDescent="0.3">
      <c r="A30" s="15">
        <v>1</v>
      </c>
      <c r="B30" s="5">
        <v>31</v>
      </c>
      <c r="C30" s="5" t="s">
        <v>25</v>
      </c>
      <c r="D30" s="6">
        <v>1</v>
      </c>
      <c r="E30" s="6">
        <v>3</v>
      </c>
      <c r="F30" s="7">
        <v>5000</v>
      </c>
    </row>
    <row r="31" spans="1:6" x14ac:dyDescent="0.25">
      <c r="A31" s="11">
        <v>7</v>
      </c>
      <c r="B31" s="5">
        <v>32</v>
      </c>
      <c r="C31" s="5" t="s">
        <v>26</v>
      </c>
      <c r="D31" s="6">
        <v>0</v>
      </c>
      <c r="E31" s="6">
        <v>0</v>
      </c>
      <c r="F31" s="7">
        <v>0</v>
      </c>
    </row>
    <row r="32" spans="1:6" x14ac:dyDescent="0.25">
      <c r="A32" s="14">
        <v>8</v>
      </c>
      <c r="B32" s="5">
        <v>22</v>
      </c>
      <c r="C32" s="5" t="s">
        <v>27</v>
      </c>
      <c r="D32" s="6">
        <v>2</v>
      </c>
      <c r="E32" s="6">
        <f>SUM(3,'[1]concentrado total'!$AA$11)</f>
        <v>5</v>
      </c>
      <c r="F32" s="7">
        <v>5265</v>
      </c>
    </row>
    <row r="33" spans="1:6" x14ac:dyDescent="0.25">
      <c r="A33" s="9">
        <v>11</v>
      </c>
      <c r="B33" s="5">
        <v>24</v>
      </c>
      <c r="C33" s="5" t="s">
        <v>28</v>
      </c>
      <c r="D33" s="6">
        <f>SUM(8+1)</f>
        <v>9</v>
      </c>
      <c r="E33" s="6">
        <v>6</v>
      </c>
      <c r="F33" s="7">
        <f>SUM(14000+5000)</f>
        <v>19000</v>
      </c>
    </row>
    <row r="34" spans="1:6" x14ac:dyDescent="0.25">
      <c r="A34" s="15">
        <v>1</v>
      </c>
      <c r="B34" s="5">
        <v>25</v>
      </c>
      <c r="C34" s="5" t="s">
        <v>29</v>
      </c>
      <c r="D34" s="6">
        <f>SUM(3+4+1)</f>
        <v>8</v>
      </c>
      <c r="E34" s="6">
        <v>8</v>
      </c>
      <c r="F34" s="7">
        <f>SUM(7948.32+4000+1680)</f>
        <v>13628.32</v>
      </c>
    </row>
    <row r="35" spans="1:6" ht="23.25" x14ac:dyDescent="0.25">
      <c r="A35" s="17">
        <v>5</v>
      </c>
      <c r="B35" s="5">
        <v>26</v>
      </c>
      <c r="C35" s="5" t="s">
        <v>30</v>
      </c>
      <c r="D35" s="6">
        <v>0</v>
      </c>
      <c r="E35" s="6">
        <v>1</v>
      </c>
      <c r="F35" s="7">
        <v>0</v>
      </c>
    </row>
    <row r="36" spans="1:6" ht="23.25" x14ac:dyDescent="0.25">
      <c r="A36" s="14">
        <v>8</v>
      </c>
      <c r="B36" s="5">
        <v>27</v>
      </c>
      <c r="C36" s="5" t="s">
        <v>31</v>
      </c>
      <c r="D36" s="6">
        <v>4</v>
      </c>
      <c r="E36" s="6">
        <f>SUM(5,'[1]concentrado total'!$AA$13)</f>
        <v>6</v>
      </c>
      <c r="F36" s="7">
        <f>SUM(5576.5)</f>
        <v>5576.5</v>
      </c>
    </row>
    <row r="37" spans="1:6" x14ac:dyDescent="0.25">
      <c r="A37" s="12">
        <v>10</v>
      </c>
      <c r="B37" s="5">
        <v>28</v>
      </c>
      <c r="C37" s="5" t="s">
        <v>32</v>
      </c>
      <c r="D37" s="6">
        <v>5</v>
      </c>
      <c r="E37" s="6">
        <f>SUM(3+1+4)</f>
        <v>8</v>
      </c>
      <c r="F37" s="7">
        <f>SUM(9376+5408.18)</f>
        <v>14784.18</v>
      </c>
    </row>
    <row r="38" spans="1:6" x14ac:dyDescent="0.25">
      <c r="A38" s="8">
        <v>12</v>
      </c>
      <c r="B38" s="5">
        <v>29</v>
      </c>
      <c r="C38" s="5" t="s">
        <v>33</v>
      </c>
      <c r="D38" s="6">
        <v>0</v>
      </c>
      <c r="E38" s="6">
        <v>0</v>
      </c>
      <c r="F38" s="7">
        <v>0</v>
      </c>
    </row>
    <row r="39" spans="1:6" x14ac:dyDescent="0.25">
      <c r="A39" s="13">
        <v>4</v>
      </c>
      <c r="B39" s="5">
        <v>33</v>
      </c>
      <c r="C39" s="5" t="s">
        <v>34</v>
      </c>
      <c r="D39" s="6">
        <v>4</v>
      </c>
      <c r="E39" s="6">
        <v>2</v>
      </c>
      <c r="F39" s="7">
        <v>228</v>
      </c>
    </row>
    <row r="40" spans="1:6" x14ac:dyDescent="0.25">
      <c r="A40" s="11">
        <v>7</v>
      </c>
      <c r="B40" s="5">
        <v>34</v>
      </c>
      <c r="C40" s="5" t="s">
        <v>35</v>
      </c>
      <c r="D40" s="6">
        <v>0</v>
      </c>
      <c r="E40" s="6">
        <v>0</v>
      </c>
      <c r="F40" s="7">
        <v>0</v>
      </c>
    </row>
    <row r="41" spans="1:6" x14ac:dyDescent="0.25">
      <c r="A41" s="18">
        <v>2</v>
      </c>
      <c r="B41" s="5">
        <v>35</v>
      </c>
      <c r="C41" s="5" t="s">
        <v>36</v>
      </c>
      <c r="D41" s="6">
        <f>SUM(2+3)</f>
        <v>5</v>
      </c>
      <c r="E41" s="6">
        <f>SUM(3+1+1)</f>
        <v>5</v>
      </c>
      <c r="F41" s="7">
        <f>SUM(9067.33+3530.9)</f>
        <v>12598.23</v>
      </c>
    </row>
    <row r="42" spans="1:6" x14ac:dyDescent="0.25">
      <c r="A42" s="9">
        <v>11</v>
      </c>
      <c r="B42" s="5">
        <v>36</v>
      </c>
      <c r="C42" s="5" t="s">
        <v>37</v>
      </c>
      <c r="D42" s="6">
        <f>SUM(10+7)</f>
        <v>17</v>
      </c>
      <c r="E42" s="6">
        <v>4</v>
      </c>
      <c r="F42" s="7">
        <f>SUM(5000+5216)</f>
        <v>10216</v>
      </c>
    </row>
    <row r="43" spans="1:6" x14ac:dyDescent="0.25">
      <c r="A43" s="10">
        <v>6</v>
      </c>
      <c r="B43" s="5">
        <v>79</v>
      </c>
      <c r="C43" s="5" t="s">
        <v>38</v>
      </c>
      <c r="D43" s="6">
        <v>10</v>
      </c>
      <c r="E43" s="6">
        <v>4</v>
      </c>
      <c r="F43" s="7">
        <v>14200</v>
      </c>
    </row>
    <row r="44" spans="1:6" x14ac:dyDescent="0.25">
      <c r="A44" s="11">
        <v>7</v>
      </c>
      <c r="B44" s="5">
        <v>37</v>
      </c>
      <c r="C44" s="5" t="s">
        <v>39</v>
      </c>
      <c r="D44" s="6">
        <f>SUM(1+5)</f>
        <v>6</v>
      </c>
      <c r="E44" s="6">
        <f>SUM(2+1)</f>
        <v>3</v>
      </c>
      <c r="F44" s="7">
        <f>SUM(5000+5000)</f>
        <v>10000</v>
      </c>
    </row>
    <row r="45" spans="1:6" x14ac:dyDescent="0.25">
      <c r="A45" s="12">
        <v>10</v>
      </c>
      <c r="B45" s="5">
        <v>38</v>
      </c>
      <c r="C45" s="5" t="s">
        <v>40</v>
      </c>
      <c r="D45" s="6">
        <v>0</v>
      </c>
      <c r="E45" s="6">
        <v>1</v>
      </c>
      <c r="F45" s="7">
        <v>0</v>
      </c>
    </row>
    <row r="46" spans="1:6" x14ac:dyDescent="0.25">
      <c r="A46" s="8">
        <v>12</v>
      </c>
      <c r="B46" s="5">
        <v>39</v>
      </c>
      <c r="C46" s="5" t="s">
        <v>41</v>
      </c>
      <c r="D46" s="6">
        <f>SUM(1648+40+106+3+77+1+52+44+7+170+143+58+2+121+48+38+1+5+48+14)</f>
        <v>2626</v>
      </c>
      <c r="E46" s="6">
        <f>SUM(593+46+'[1]concentrado total'!$AA$16+33)+9</f>
        <v>759</v>
      </c>
      <c r="F46" s="7">
        <f>SUM(1177593.12+50038.74+142651.28+459.96+6056.14+1887.9+99936.85+40632.47+1073.24+9735.82+203931.84+50806.14+306.64+3488.03+50987.58+76708.31+57926+4750+153.32)</f>
        <v>1979123.3800000001</v>
      </c>
    </row>
    <row r="47" spans="1:6" x14ac:dyDescent="0.25">
      <c r="A47" s="9">
        <v>11</v>
      </c>
      <c r="B47" s="5">
        <v>40</v>
      </c>
      <c r="C47" s="5" t="s">
        <v>42</v>
      </c>
      <c r="D47" s="6">
        <v>1</v>
      </c>
      <c r="E47" s="6">
        <v>1</v>
      </c>
      <c r="F47" s="7">
        <v>5000</v>
      </c>
    </row>
    <row r="48" spans="1:6" x14ac:dyDescent="0.25">
      <c r="A48" s="15">
        <v>1</v>
      </c>
      <c r="B48" s="5">
        <v>41</v>
      </c>
      <c r="C48" s="5" t="s">
        <v>43</v>
      </c>
      <c r="D48" s="6">
        <v>2</v>
      </c>
      <c r="E48" s="6">
        <v>1</v>
      </c>
      <c r="F48" s="7">
        <v>2500</v>
      </c>
    </row>
    <row r="49" spans="1:6" x14ac:dyDescent="0.25">
      <c r="A49" s="15">
        <v>1</v>
      </c>
      <c r="B49" s="5">
        <v>42</v>
      </c>
      <c r="C49" s="5" t="s">
        <v>44</v>
      </c>
      <c r="D49" s="6">
        <v>10</v>
      </c>
      <c r="E49" s="6">
        <v>9</v>
      </c>
      <c r="F49" s="7">
        <v>26505.61</v>
      </c>
    </row>
    <row r="50" spans="1:6" x14ac:dyDescent="0.25">
      <c r="A50" s="14">
        <v>8</v>
      </c>
      <c r="B50" s="5">
        <v>43</v>
      </c>
      <c r="C50" s="5" t="s">
        <v>45</v>
      </c>
      <c r="D50" s="6">
        <v>2</v>
      </c>
      <c r="E50" s="6">
        <f>SUM(5,'[1]concentrado total'!$AA$18+2)</f>
        <v>8</v>
      </c>
      <c r="F50" s="7">
        <v>14650</v>
      </c>
    </row>
    <row r="51" spans="1:6" ht="23.25" x14ac:dyDescent="0.25">
      <c r="A51" s="8">
        <v>12</v>
      </c>
      <c r="B51" s="5">
        <v>44</v>
      </c>
      <c r="C51" s="5" t="s">
        <v>46</v>
      </c>
      <c r="D51" s="6">
        <v>3</v>
      </c>
      <c r="E51" s="6">
        <f>SUM(9+3)</f>
        <v>12</v>
      </c>
      <c r="F51" s="7">
        <v>11031.62</v>
      </c>
    </row>
    <row r="52" spans="1:6" x14ac:dyDescent="0.25">
      <c r="A52" s="8">
        <v>12</v>
      </c>
      <c r="B52" s="5">
        <v>45</v>
      </c>
      <c r="C52" s="5" t="s">
        <v>47</v>
      </c>
      <c r="D52" s="6">
        <v>2</v>
      </c>
      <c r="E52" s="6">
        <v>2</v>
      </c>
      <c r="F52" s="7">
        <v>292</v>
      </c>
    </row>
    <row r="53" spans="1:6" x14ac:dyDescent="0.25">
      <c r="A53" s="4">
        <v>3</v>
      </c>
      <c r="B53" s="5">
        <v>46</v>
      </c>
      <c r="C53" s="5" t="s">
        <v>48</v>
      </c>
      <c r="D53" s="6">
        <f>SUM(9+5)</f>
        <v>14</v>
      </c>
      <c r="E53" s="6">
        <v>3</v>
      </c>
      <c r="F53" s="7">
        <f>SUM(10400+3000)</f>
        <v>13400</v>
      </c>
    </row>
    <row r="54" spans="1:6" x14ac:dyDescent="0.25">
      <c r="A54" s="13">
        <v>4</v>
      </c>
      <c r="B54" s="5">
        <v>47</v>
      </c>
      <c r="C54" s="5" t="s">
        <v>49</v>
      </c>
      <c r="D54" s="6">
        <v>1</v>
      </c>
      <c r="E54" s="6">
        <f>SUM(1+1)</f>
        <v>2</v>
      </c>
      <c r="F54" s="7">
        <v>5000</v>
      </c>
    </row>
    <row r="55" spans="1:6" x14ac:dyDescent="0.25">
      <c r="A55" s="4">
        <v>3</v>
      </c>
      <c r="B55" s="5">
        <v>48</v>
      </c>
      <c r="C55" s="5" t="s">
        <v>50</v>
      </c>
      <c r="D55" s="6">
        <v>5</v>
      </c>
      <c r="E55" s="6">
        <v>6</v>
      </c>
      <c r="F55" s="7">
        <v>18013</v>
      </c>
    </row>
    <row r="56" spans="1:6" x14ac:dyDescent="0.25">
      <c r="A56" s="17">
        <v>5</v>
      </c>
      <c r="B56" s="5">
        <v>49</v>
      </c>
      <c r="C56" s="5" t="s">
        <v>51</v>
      </c>
      <c r="D56" s="6">
        <v>1</v>
      </c>
      <c r="E56" s="6">
        <v>1</v>
      </c>
      <c r="F56" s="7">
        <v>4800</v>
      </c>
    </row>
    <row r="57" spans="1:6" x14ac:dyDescent="0.25">
      <c r="A57" s="13">
        <v>4</v>
      </c>
      <c r="B57" s="5">
        <v>50</v>
      </c>
      <c r="C57" s="5" t="s">
        <v>52</v>
      </c>
      <c r="D57" s="6">
        <f>SUM(8+1+7+5+1)</f>
        <v>22</v>
      </c>
      <c r="E57" s="6">
        <f>SUM(7+2+'[1]concentrado total'!$AA$17)</f>
        <v>11</v>
      </c>
      <c r="F57" s="7">
        <f>SUM(10992+1590+7780+5000+5000)</f>
        <v>30362</v>
      </c>
    </row>
    <row r="58" spans="1:6" x14ac:dyDescent="0.25">
      <c r="A58" s="8">
        <v>12</v>
      </c>
      <c r="B58" s="5">
        <v>51</v>
      </c>
      <c r="C58" s="5" t="s">
        <v>53</v>
      </c>
      <c r="D58" s="6">
        <v>0</v>
      </c>
      <c r="E58" s="6">
        <v>1</v>
      </c>
      <c r="F58" s="7">
        <v>0</v>
      </c>
    </row>
    <row r="59" spans="1:6" x14ac:dyDescent="0.25">
      <c r="A59" s="11">
        <v>7</v>
      </c>
      <c r="B59" s="5">
        <v>52</v>
      </c>
      <c r="C59" s="5" t="s">
        <v>54</v>
      </c>
      <c r="D59" s="6">
        <v>2</v>
      </c>
      <c r="E59" s="6">
        <v>4</v>
      </c>
      <c r="F59" s="7">
        <v>6028.14</v>
      </c>
    </row>
    <row r="60" spans="1:6" x14ac:dyDescent="0.25">
      <c r="A60" s="18">
        <v>2</v>
      </c>
      <c r="B60" s="5">
        <v>53</v>
      </c>
      <c r="C60" s="5" t="s">
        <v>55</v>
      </c>
      <c r="D60" s="6">
        <f>SUM(2+1)</f>
        <v>3</v>
      </c>
      <c r="E60" s="6">
        <f>SUM(3+1+'[1]concentrado total'!$AA$19)+1</f>
        <v>7</v>
      </c>
      <c r="F60" s="7">
        <v>438</v>
      </c>
    </row>
    <row r="61" spans="1:6" x14ac:dyDescent="0.25">
      <c r="A61" s="11">
        <v>7</v>
      </c>
      <c r="B61" s="5">
        <v>54</v>
      </c>
      <c r="C61" s="5" t="s">
        <v>56</v>
      </c>
      <c r="D61" s="6">
        <v>0</v>
      </c>
      <c r="E61" s="6">
        <f>SUM(0,'[1]concentrado total'!$AA$14)</f>
        <v>1</v>
      </c>
      <c r="F61" s="7">
        <v>0</v>
      </c>
    </row>
    <row r="62" spans="1:6" x14ac:dyDescent="0.25">
      <c r="A62" s="9">
        <v>11</v>
      </c>
      <c r="B62" s="5">
        <v>55</v>
      </c>
      <c r="C62" s="5" t="s">
        <v>57</v>
      </c>
      <c r="D62" s="6">
        <v>8</v>
      </c>
      <c r="E62" s="6">
        <v>12</v>
      </c>
      <c r="F62" s="7">
        <v>10166.5</v>
      </c>
    </row>
    <row r="63" spans="1:6" x14ac:dyDescent="0.25">
      <c r="A63" s="17">
        <v>5</v>
      </c>
      <c r="B63" s="5">
        <v>57</v>
      </c>
      <c r="C63" s="5" t="s">
        <v>58</v>
      </c>
      <c r="D63" s="6">
        <v>0</v>
      </c>
      <c r="E63" s="6">
        <v>0</v>
      </c>
      <c r="F63" s="7">
        <v>0</v>
      </c>
    </row>
    <row r="64" spans="1:6" x14ac:dyDescent="0.25">
      <c r="A64" s="12">
        <v>10</v>
      </c>
      <c r="B64" s="5">
        <v>58</v>
      </c>
      <c r="C64" s="5" t="s">
        <v>59</v>
      </c>
      <c r="D64" s="6">
        <v>0</v>
      </c>
      <c r="E64" s="6">
        <v>1</v>
      </c>
      <c r="F64" s="7">
        <v>0</v>
      </c>
    </row>
    <row r="65" spans="1:6" x14ac:dyDescent="0.25">
      <c r="A65" s="17">
        <v>5</v>
      </c>
      <c r="B65" s="5">
        <v>59</v>
      </c>
      <c r="C65" s="5" t="s">
        <v>60</v>
      </c>
      <c r="D65" s="6">
        <v>1</v>
      </c>
      <c r="E65" s="6">
        <v>10</v>
      </c>
      <c r="F65" s="7">
        <v>0</v>
      </c>
    </row>
    <row r="66" spans="1:6" x14ac:dyDescent="0.25">
      <c r="A66" s="4">
        <v>3</v>
      </c>
      <c r="B66" s="5">
        <v>60</v>
      </c>
      <c r="C66" s="5" t="s">
        <v>61</v>
      </c>
      <c r="D66" s="6">
        <v>0</v>
      </c>
      <c r="E66" s="6">
        <v>2</v>
      </c>
      <c r="F66" s="7">
        <v>0</v>
      </c>
    </row>
    <row r="67" spans="1:6" x14ac:dyDescent="0.25">
      <c r="A67" s="15">
        <v>1</v>
      </c>
      <c r="B67" s="5">
        <v>61</v>
      </c>
      <c r="C67" s="5" t="s">
        <v>62</v>
      </c>
      <c r="D67" s="6">
        <v>8</v>
      </c>
      <c r="E67" s="6">
        <f>SUM(9+1+'[1]concentrado total'!$AA$20+1)</f>
        <v>29</v>
      </c>
      <c r="F67" s="7">
        <v>3670.07</v>
      </c>
    </row>
    <row r="68" spans="1:6" x14ac:dyDescent="0.25">
      <c r="A68" s="12">
        <v>10</v>
      </c>
      <c r="B68" s="5">
        <v>62</v>
      </c>
      <c r="C68" s="5" t="s">
        <v>63</v>
      </c>
      <c r="D68" s="6">
        <v>5</v>
      </c>
      <c r="E68" s="6">
        <v>1</v>
      </c>
      <c r="F68" s="7">
        <v>5000</v>
      </c>
    </row>
    <row r="69" spans="1:6" x14ac:dyDescent="0.25">
      <c r="A69" s="13">
        <v>4</v>
      </c>
      <c r="B69" s="5">
        <v>63</v>
      </c>
      <c r="C69" s="5" t="s">
        <v>64</v>
      </c>
      <c r="D69" s="6">
        <v>2</v>
      </c>
      <c r="E69" s="6">
        <f>SUM(7+1)</f>
        <v>8</v>
      </c>
      <c r="F69" s="7">
        <v>5836</v>
      </c>
    </row>
    <row r="70" spans="1:6" x14ac:dyDescent="0.25">
      <c r="A70" s="18">
        <v>2</v>
      </c>
      <c r="B70" s="5">
        <v>64</v>
      </c>
      <c r="C70" s="5" t="s">
        <v>65</v>
      </c>
      <c r="D70" s="6">
        <v>0</v>
      </c>
      <c r="E70" s="6">
        <f>SUM(3,'[1]concentrado total'!$AA$21)</f>
        <v>4</v>
      </c>
      <c r="F70" s="7">
        <v>0</v>
      </c>
    </row>
    <row r="71" spans="1:6" x14ac:dyDescent="0.25">
      <c r="A71" s="17">
        <v>5</v>
      </c>
      <c r="B71" s="5">
        <v>65</v>
      </c>
      <c r="C71" s="5" t="s">
        <v>66</v>
      </c>
      <c r="D71" s="6">
        <v>1</v>
      </c>
      <c r="E71" s="6">
        <v>1</v>
      </c>
      <c r="F71" s="7">
        <v>5000</v>
      </c>
    </row>
    <row r="72" spans="1:6" x14ac:dyDescent="0.25">
      <c r="A72" s="13">
        <v>4</v>
      </c>
      <c r="B72" s="5">
        <v>66</v>
      </c>
      <c r="C72" s="5" t="s">
        <v>67</v>
      </c>
      <c r="D72" s="6">
        <f>SUM(22+1+5+2+2+6)</f>
        <v>38</v>
      </c>
      <c r="E72" s="6">
        <f>SUM(9,'[1]concentrado total'!$AA$22)</f>
        <v>10</v>
      </c>
      <c r="F72" s="7">
        <f>SUM(16985+3000+5000+10000)</f>
        <v>34985</v>
      </c>
    </row>
    <row r="73" spans="1:6" x14ac:dyDescent="0.25">
      <c r="A73" s="16">
        <v>9</v>
      </c>
      <c r="B73" s="5">
        <v>67</v>
      </c>
      <c r="C73" s="5" t="s">
        <v>68</v>
      </c>
      <c r="D73" s="6">
        <f>SUM(20+4+1+2+2)</f>
        <v>29</v>
      </c>
      <c r="E73" s="6">
        <v>23</v>
      </c>
      <c r="F73" s="7">
        <f>SUM(12608.6+708+2600+2457+3677)</f>
        <v>22050.6</v>
      </c>
    </row>
    <row r="74" spans="1:6" x14ac:dyDescent="0.25">
      <c r="A74" s="17">
        <v>5</v>
      </c>
      <c r="B74" s="5">
        <v>69</v>
      </c>
      <c r="C74" s="5" t="s">
        <v>69</v>
      </c>
      <c r="D74" s="6">
        <v>0</v>
      </c>
      <c r="E74" s="6">
        <v>0</v>
      </c>
      <c r="F74" s="7">
        <v>0</v>
      </c>
    </row>
    <row r="75" spans="1:6" x14ac:dyDescent="0.25">
      <c r="A75" s="8">
        <v>12</v>
      </c>
      <c r="B75" s="5">
        <v>70</v>
      </c>
      <c r="C75" s="5" t="s">
        <v>70</v>
      </c>
      <c r="D75" s="6">
        <f>SUM(82+7+9+2+2+16+2+12+5)</f>
        <v>137</v>
      </c>
      <c r="E75" s="6">
        <f>SUM(32+2+'[1]concentrado total'!$AA$15+2)</f>
        <v>39</v>
      </c>
      <c r="F75" s="7">
        <f>SUM(44926.41+5300+2180.67+968+2974.67+2264.68)</f>
        <v>58614.43</v>
      </c>
    </row>
    <row r="76" spans="1:6" ht="23.25" x14ac:dyDescent="0.25">
      <c r="A76" s="8">
        <v>12</v>
      </c>
      <c r="B76" s="5">
        <v>71</v>
      </c>
      <c r="C76" s="5" t="s">
        <v>71</v>
      </c>
      <c r="D76" s="6">
        <v>0</v>
      </c>
      <c r="E76" s="6">
        <v>2</v>
      </c>
      <c r="F76" s="7">
        <v>0</v>
      </c>
    </row>
    <row r="77" spans="1:6" ht="23.25" x14ac:dyDescent="0.25">
      <c r="A77" s="18">
        <v>2</v>
      </c>
      <c r="B77" s="5">
        <v>72</v>
      </c>
      <c r="C77" s="5" t="s">
        <v>72</v>
      </c>
      <c r="D77" s="6">
        <v>0</v>
      </c>
      <c r="E77" s="6">
        <v>0</v>
      </c>
      <c r="F77" s="7">
        <v>0</v>
      </c>
    </row>
    <row r="78" spans="1:6" ht="23.25" x14ac:dyDescent="0.25">
      <c r="A78" s="10">
        <v>6</v>
      </c>
      <c r="B78" s="5">
        <v>113</v>
      </c>
      <c r="C78" s="5" t="s">
        <v>73</v>
      </c>
      <c r="D78" s="6">
        <v>39</v>
      </c>
      <c r="E78" s="6">
        <v>4</v>
      </c>
      <c r="F78" s="7">
        <v>15759.6</v>
      </c>
    </row>
    <row r="79" spans="1:6" ht="23.25" x14ac:dyDescent="0.25">
      <c r="A79" s="4">
        <v>3</v>
      </c>
      <c r="B79" s="5">
        <v>125</v>
      </c>
      <c r="C79" s="5" t="s">
        <v>74</v>
      </c>
      <c r="D79" s="6">
        <v>1</v>
      </c>
      <c r="E79" s="6">
        <v>1</v>
      </c>
      <c r="F79" s="7">
        <v>1900</v>
      </c>
    </row>
    <row r="80" spans="1:6" x14ac:dyDescent="0.25">
      <c r="A80" s="18">
        <v>2</v>
      </c>
      <c r="B80" s="5">
        <v>73</v>
      </c>
      <c r="C80" s="5" t="s">
        <v>75</v>
      </c>
      <c r="D80" s="6">
        <v>2</v>
      </c>
      <c r="E80" s="6">
        <v>3</v>
      </c>
      <c r="F80" s="7">
        <v>13000</v>
      </c>
    </row>
    <row r="81" spans="1:6" ht="23.25" x14ac:dyDescent="0.25">
      <c r="A81" s="9">
        <v>11</v>
      </c>
      <c r="B81" s="5">
        <v>7</v>
      </c>
      <c r="C81" s="5" t="s">
        <v>76</v>
      </c>
      <c r="D81" s="6">
        <v>7</v>
      </c>
      <c r="E81" s="6">
        <f>SUM(2,'[1]concentrado total'!$AA$24)</f>
        <v>3</v>
      </c>
      <c r="F81" s="7">
        <v>7890</v>
      </c>
    </row>
    <row r="82" spans="1:6" x14ac:dyDescent="0.25">
      <c r="A82" s="4">
        <v>3</v>
      </c>
      <c r="B82" s="5">
        <v>74</v>
      </c>
      <c r="C82" s="5" t="s">
        <v>77</v>
      </c>
      <c r="D82" s="6">
        <f>SUM(1+5+1+6)</f>
        <v>13</v>
      </c>
      <c r="E82" s="6">
        <f>SUM(4+1+'[1]concentrado total'!$AA$25)</f>
        <v>7</v>
      </c>
      <c r="F82" s="7">
        <f>SUM(2368+5000+4500+890.6)</f>
        <v>12758.6</v>
      </c>
    </row>
    <row r="83" spans="1:6" x14ac:dyDescent="0.25">
      <c r="A83" s="9">
        <v>11</v>
      </c>
      <c r="B83" s="5">
        <v>75</v>
      </c>
      <c r="C83" s="5" t="s">
        <v>78</v>
      </c>
      <c r="D83" s="6">
        <v>0</v>
      </c>
      <c r="E83" s="6">
        <v>0</v>
      </c>
      <c r="F83" s="7">
        <v>0</v>
      </c>
    </row>
    <row r="84" spans="1:6" x14ac:dyDescent="0.25">
      <c r="A84" s="15">
        <v>1</v>
      </c>
      <c r="B84" s="5">
        <v>76</v>
      </c>
      <c r="C84" s="5" t="s">
        <v>79</v>
      </c>
      <c r="D84" s="6">
        <v>4</v>
      </c>
      <c r="E84" s="6">
        <v>1</v>
      </c>
      <c r="F84" s="7">
        <v>1900</v>
      </c>
    </row>
    <row r="85" spans="1:6" x14ac:dyDescent="0.25">
      <c r="A85" s="9">
        <v>11</v>
      </c>
      <c r="B85" s="5">
        <v>77</v>
      </c>
      <c r="C85" s="5" t="s">
        <v>80</v>
      </c>
      <c r="D85" s="6">
        <f>SUM(21+2)</f>
        <v>23</v>
      </c>
      <c r="E85" s="6">
        <v>21</v>
      </c>
      <c r="F85" s="7">
        <f>SUM(32226.15+4677)</f>
        <v>36903.15</v>
      </c>
    </row>
    <row r="86" spans="1:6" x14ac:dyDescent="0.25">
      <c r="A86" s="4">
        <v>3</v>
      </c>
      <c r="B86" s="5">
        <v>78</v>
      </c>
      <c r="C86" s="5" t="s">
        <v>81</v>
      </c>
      <c r="D86" s="6">
        <v>0</v>
      </c>
      <c r="E86" s="6">
        <v>1</v>
      </c>
      <c r="F86" s="7">
        <v>0</v>
      </c>
    </row>
    <row r="87" spans="1:6" x14ac:dyDescent="0.25">
      <c r="A87" s="12">
        <v>10</v>
      </c>
      <c r="B87" s="5">
        <v>80</v>
      </c>
      <c r="C87" s="5" t="s">
        <v>82</v>
      </c>
      <c r="D87" s="6">
        <v>1</v>
      </c>
      <c r="E87" s="6">
        <v>3</v>
      </c>
      <c r="F87" s="7">
        <v>190</v>
      </c>
    </row>
    <row r="88" spans="1:6" ht="23.25" x14ac:dyDescent="0.25">
      <c r="A88" s="15">
        <v>1</v>
      </c>
      <c r="B88" s="5">
        <v>81</v>
      </c>
      <c r="C88" s="5" t="s">
        <v>83</v>
      </c>
      <c r="D88" s="6">
        <f>SUM(0+1)</f>
        <v>1</v>
      </c>
      <c r="E88" s="6">
        <v>1</v>
      </c>
      <c r="F88" s="7">
        <f>SUM(0+3944)</f>
        <v>3944</v>
      </c>
    </row>
    <row r="89" spans="1:6" ht="23.25" x14ac:dyDescent="0.25">
      <c r="A89" s="17">
        <v>5</v>
      </c>
      <c r="B89" s="5">
        <v>56</v>
      </c>
      <c r="C89" s="5" t="s">
        <v>84</v>
      </c>
      <c r="D89" s="6">
        <v>0</v>
      </c>
      <c r="E89" s="6">
        <v>0</v>
      </c>
      <c r="F89" s="7">
        <v>0</v>
      </c>
    </row>
    <row r="90" spans="1:6" x14ac:dyDescent="0.25">
      <c r="A90" s="10">
        <v>6</v>
      </c>
      <c r="B90" s="5">
        <v>82</v>
      </c>
      <c r="C90" s="5" t="s">
        <v>85</v>
      </c>
      <c r="D90" s="6">
        <v>8</v>
      </c>
      <c r="E90" s="6">
        <f>SUM(1,'[1]concentrado total'!$AA$26)+1</f>
        <v>3</v>
      </c>
      <c r="F90" s="7">
        <v>5000</v>
      </c>
    </row>
    <row r="91" spans="1:6" x14ac:dyDescent="0.25">
      <c r="A91" s="9">
        <v>11</v>
      </c>
      <c r="B91" s="5">
        <v>83</v>
      </c>
      <c r="C91" s="5" t="s">
        <v>86</v>
      </c>
      <c r="D91" s="6">
        <f>27+6</f>
        <v>33</v>
      </c>
      <c r="E91" s="6">
        <f>SUM(19,'[1]concentrado total'!$AA$27)</f>
        <v>21</v>
      </c>
      <c r="F91" s="7">
        <f>33381+284</f>
        <v>33665</v>
      </c>
    </row>
    <row r="92" spans="1:6" x14ac:dyDescent="0.25">
      <c r="A92" s="12">
        <v>10</v>
      </c>
      <c r="B92" s="5">
        <v>84</v>
      </c>
      <c r="C92" s="5" t="s">
        <v>87</v>
      </c>
      <c r="D92" s="6">
        <v>4</v>
      </c>
      <c r="E92" s="6">
        <f>SUM(4,'[1]concentrado total'!$AA$28)</f>
        <v>5</v>
      </c>
      <c r="F92" s="7">
        <v>12591.46</v>
      </c>
    </row>
    <row r="93" spans="1:6" x14ac:dyDescent="0.25">
      <c r="A93" s="17">
        <v>5</v>
      </c>
      <c r="B93" s="5">
        <v>85</v>
      </c>
      <c r="C93" s="5" t="s">
        <v>88</v>
      </c>
      <c r="D93" s="6">
        <v>15</v>
      </c>
      <c r="E93" s="6">
        <v>6</v>
      </c>
      <c r="F93" s="7">
        <v>13190</v>
      </c>
    </row>
    <row r="94" spans="1:6" x14ac:dyDescent="0.25">
      <c r="A94" s="10">
        <v>6</v>
      </c>
      <c r="B94" s="5">
        <v>86</v>
      </c>
      <c r="C94" s="5" t="s">
        <v>89</v>
      </c>
      <c r="D94" s="6">
        <v>8</v>
      </c>
      <c r="E94" s="6">
        <f>SUM(1+1)</f>
        <v>2</v>
      </c>
      <c r="F94" s="7">
        <v>5000</v>
      </c>
    </row>
    <row r="95" spans="1:6" x14ac:dyDescent="0.25">
      <c r="A95" s="17">
        <v>5</v>
      </c>
      <c r="B95" s="5">
        <v>87</v>
      </c>
      <c r="C95" s="5" t="s">
        <v>90</v>
      </c>
      <c r="D95" s="6">
        <v>0</v>
      </c>
      <c r="E95" s="6">
        <v>0</v>
      </c>
      <c r="F95" s="7">
        <v>0</v>
      </c>
    </row>
    <row r="96" spans="1:6" ht="23.25" x14ac:dyDescent="0.25">
      <c r="A96" s="10">
        <v>6</v>
      </c>
      <c r="B96" s="5">
        <v>89</v>
      </c>
      <c r="C96" s="5" t="s">
        <v>91</v>
      </c>
      <c r="D96" s="6">
        <v>0</v>
      </c>
      <c r="E96" s="6">
        <v>0</v>
      </c>
      <c r="F96" s="7">
        <v>0</v>
      </c>
    </row>
    <row r="97" spans="1:6" x14ac:dyDescent="0.25">
      <c r="A97" s="11">
        <v>7</v>
      </c>
      <c r="B97" s="5">
        <v>88</v>
      </c>
      <c r="C97" s="5" t="s">
        <v>92</v>
      </c>
      <c r="D97" s="6">
        <v>0</v>
      </c>
      <c r="E97" s="6">
        <f>SUM(0,'[1]concentrado total'!$AA$29)</f>
        <v>2</v>
      </c>
      <c r="F97" s="7">
        <v>0</v>
      </c>
    </row>
    <row r="98" spans="1:6" x14ac:dyDescent="0.25">
      <c r="A98" s="11">
        <v>7</v>
      </c>
      <c r="B98" s="5">
        <v>90</v>
      </c>
      <c r="C98" s="5" t="s">
        <v>93</v>
      </c>
      <c r="D98" s="6">
        <v>8</v>
      </c>
      <c r="E98" s="6">
        <v>6</v>
      </c>
      <c r="F98" s="7">
        <v>16741.400000000001</v>
      </c>
    </row>
    <row r="99" spans="1:6" x14ac:dyDescent="0.25">
      <c r="A99" s="18">
        <v>2</v>
      </c>
      <c r="B99" s="5">
        <v>91</v>
      </c>
      <c r="C99" s="5" t="s">
        <v>94</v>
      </c>
      <c r="D99" s="6">
        <f>SUM(0+1)</f>
        <v>1</v>
      </c>
      <c r="E99" s="6">
        <v>5</v>
      </c>
      <c r="F99" s="7">
        <f>SUM(0+310)</f>
        <v>310</v>
      </c>
    </row>
    <row r="100" spans="1:6" ht="23.25" x14ac:dyDescent="0.25">
      <c r="A100" s="10">
        <v>6</v>
      </c>
      <c r="B100" s="5">
        <v>92</v>
      </c>
      <c r="C100" s="5" t="s">
        <v>95</v>
      </c>
      <c r="D100" s="6">
        <f>SUM(0+1)</f>
        <v>1</v>
      </c>
      <c r="E100" s="6">
        <v>3</v>
      </c>
      <c r="F100" s="7">
        <f>SUM(0+2500)</f>
        <v>2500</v>
      </c>
    </row>
    <row r="101" spans="1:6" x14ac:dyDescent="0.25">
      <c r="A101" s="4">
        <v>3</v>
      </c>
      <c r="B101" s="5">
        <v>93</v>
      </c>
      <c r="C101" s="5" t="s">
        <v>96</v>
      </c>
      <c r="D101" s="6">
        <v>2</v>
      </c>
      <c r="E101" s="6">
        <f>SUM(3,'[1]concentrado total'!$AA$31)</f>
        <v>4</v>
      </c>
      <c r="F101" s="7">
        <v>5150</v>
      </c>
    </row>
    <row r="102" spans="1:6" x14ac:dyDescent="0.25">
      <c r="A102" s="9">
        <v>11</v>
      </c>
      <c r="B102" s="5">
        <v>94</v>
      </c>
      <c r="C102" s="5" t="s">
        <v>97</v>
      </c>
      <c r="D102" s="6">
        <v>5</v>
      </c>
      <c r="E102" s="6">
        <v>5</v>
      </c>
      <c r="F102" s="7">
        <v>4500</v>
      </c>
    </row>
    <row r="103" spans="1:6" x14ac:dyDescent="0.25">
      <c r="A103" s="9">
        <v>11</v>
      </c>
      <c r="B103" s="5">
        <v>95</v>
      </c>
      <c r="C103" s="5" t="s">
        <v>98</v>
      </c>
      <c r="D103" s="6">
        <f>SUM(6+3+1)</f>
        <v>10</v>
      </c>
      <c r="E103" s="6">
        <f>SUM(9+1+1)</f>
        <v>11</v>
      </c>
      <c r="F103" s="7">
        <f>SUM(15751.17+2340+1031.18)</f>
        <v>19122.349999999999</v>
      </c>
    </row>
    <row r="104" spans="1:6" x14ac:dyDescent="0.25">
      <c r="A104" s="13">
        <v>4</v>
      </c>
      <c r="B104" s="5">
        <v>96</v>
      </c>
      <c r="C104" s="5" t="s">
        <v>99</v>
      </c>
      <c r="D104" s="6">
        <v>1</v>
      </c>
      <c r="E104" s="6">
        <v>7</v>
      </c>
      <c r="F104" s="7">
        <v>2000</v>
      </c>
    </row>
    <row r="105" spans="1:6" x14ac:dyDescent="0.25">
      <c r="A105" s="8">
        <v>12</v>
      </c>
      <c r="B105" s="5">
        <v>97</v>
      </c>
      <c r="C105" s="5" t="s">
        <v>100</v>
      </c>
      <c r="D105" s="6">
        <f>SUM(209+3+7+11+3+12+5+15+1)</f>
        <v>266</v>
      </c>
      <c r="E105" s="6">
        <f>SUM(58+8+'[1]concentrado total'!$AA$32+5)+1</f>
        <v>78</v>
      </c>
      <c r="F105" s="7">
        <f>SUM(105627.51+6400+12950+2950+5000+5000)</f>
        <v>137927.51</v>
      </c>
    </row>
    <row r="106" spans="1:6" x14ac:dyDescent="0.25">
      <c r="A106" s="8">
        <v>12</v>
      </c>
      <c r="B106" s="5">
        <v>98</v>
      </c>
      <c r="C106" s="5" t="s">
        <v>101</v>
      </c>
      <c r="D106" s="6">
        <f>SUM(355+13+1+3+23+3+1+8+2+58+4+10+37+1+5+1)</f>
        <v>525</v>
      </c>
      <c r="E106" s="6">
        <v>130</v>
      </c>
      <c r="F106" s="7">
        <f>SUM(167179.32+16622.5+1950+10910+6056.14+4118.93+8000+9735.82+306.64+231+8976+17750+3488.03+12374.32)</f>
        <v>267698.7</v>
      </c>
    </row>
    <row r="107" spans="1:6" x14ac:dyDescent="0.25">
      <c r="A107" s="10">
        <v>6</v>
      </c>
      <c r="B107" s="5">
        <v>99</v>
      </c>
      <c r="C107" s="5" t="s">
        <v>102</v>
      </c>
      <c r="D107" s="6">
        <v>2</v>
      </c>
      <c r="E107" s="6">
        <v>1</v>
      </c>
      <c r="F107" s="7">
        <v>7180</v>
      </c>
    </row>
    <row r="108" spans="1:6" x14ac:dyDescent="0.25">
      <c r="A108" s="16">
        <v>9</v>
      </c>
      <c r="B108" s="5">
        <v>100</v>
      </c>
      <c r="C108" s="5" t="s">
        <v>103</v>
      </c>
      <c r="D108" s="6">
        <f>SUM(9+3+2+1+1+1)</f>
        <v>17</v>
      </c>
      <c r="E108" s="6">
        <f>SUM(7+2+'[1]concentrado total'!$AA$34)</f>
        <v>11</v>
      </c>
      <c r="F108" s="7">
        <f>SUM(12579+6700+960+3480+389.1+389.1+4680)</f>
        <v>29177.199999999997</v>
      </c>
    </row>
    <row r="109" spans="1:6" x14ac:dyDescent="0.25">
      <c r="A109" s="8">
        <v>12</v>
      </c>
      <c r="B109" s="5">
        <v>101</v>
      </c>
      <c r="C109" s="5" t="s">
        <v>104</v>
      </c>
      <c r="D109" s="6">
        <f>SUM(253+17+7+1+14+5+25+28+1+8+16+4+1+10+5)</f>
        <v>395</v>
      </c>
      <c r="E109" s="6">
        <v>125</v>
      </c>
      <c r="F109" s="7">
        <f>SUM(244602.19+22938+13700.9+153.32+6056.14+7800+25000+9735.82+1440+13203.75+3488.03+1733.31+11459.15)</f>
        <v>361310.6100000001</v>
      </c>
    </row>
    <row r="110" spans="1:6" x14ac:dyDescent="0.25">
      <c r="A110" s="11">
        <v>7</v>
      </c>
      <c r="B110" s="5">
        <v>102</v>
      </c>
      <c r="C110" s="5" t="s">
        <v>105</v>
      </c>
      <c r="D110" s="6">
        <v>1</v>
      </c>
      <c r="E110" s="6">
        <v>3</v>
      </c>
      <c r="F110" s="7">
        <v>5000</v>
      </c>
    </row>
    <row r="111" spans="1:6" x14ac:dyDescent="0.25">
      <c r="A111" s="10">
        <v>6</v>
      </c>
      <c r="B111" s="5">
        <v>103</v>
      </c>
      <c r="C111" s="5" t="s">
        <v>106</v>
      </c>
      <c r="D111" s="6">
        <v>0</v>
      </c>
      <c r="E111" s="6">
        <v>0</v>
      </c>
      <c r="F111" s="7">
        <v>0</v>
      </c>
    </row>
    <row r="112" spans="1:6" x14ac:dyDescent="0.25">
      <c r="A112" s="15">
        <v>1</v>
      </c>
      <c r="B112" s="5">
        <v>104</v>
      </c>
      <c r="C112" s="5" t="s">
        <v>107</v>
      </c>
      <c r="D112" s="6">
        <f>SUM(7+1+3)</f>
        <v>11</v>
      </c>
      <c r="E112" s="6">
        <v>15</v>
      </c>
      <c r="F112" s="7">
        <f>SUM(9620.8+1170+3232)</f>
        <v>14022.8</v>
      </c>
    </row>
    <row r="113" spans="1:6" x14ac:dyDescent="0.25">
      <c r="A113" s="13">
        <v>4</v>
      </c>
      <c r="B113" s="5">
        <v>105</v>
      </c>
      <c r="C113" s="5" t="s">
        <v>108</v>
      </c>
      <c r="D113" s="6">
        <v>1</v>
      </c>
      <c r="E113" s="6">
        <f>SUM(4+1+'[1]concentrado total'!$AA$37)</f>
        <v>6</v>
      </c>
      <c r="F113" s="7">
        <v>3000</v>
      </c>
    </row>
    <row r="114" spans="1:6" x14ac:dyDescent="0.25">
      <c r="A114" s="11">
        <v>7</v>
      </c>
      <c r="B114" s="5">
        <v>106</v>
      </c>
      <c r="C114" s="5" t="s">
        <v>109</v>
      </c>
      <c r="D114" s="6">
        <f>SUM(0+3)</f>
        <v>3</v>
      </c>
      <c r="E114" s="6">
        <f>SUM(0+2+'[1]concentrado total'!$AA$38)</f>
        <v>3</v>
      </c>
      <c r="F114" s="7">
        <f>SUM(0+6763.8)</f>
        <v>6763.8</v>
      </c>
    </row>
    <row r="115" spans="1:6" x14ac:dyDescent="0.25">
      <c r="A115" s="13">
        <v>4</v>
      </c>
      <c r="B115" s="5">
        <v>107</v>
      </c>
      <c r="C115" s="5" t="s">
        <v>110</v>
      </c>
      <c r="D115" s="6">
        <v>0</v>
      </c>
      <c r="E115" s="6">
        <v>0</v>
      </c>
      <c r="F115" s="7">
        <v>0</v>
      </c>
    </row>
    <row r="116" spans="1:6" x14ac:dyDescent="0.25">
      <c r="A116" s="10">
        <v>6</v>
      </c>
      <c r="B116" s="5">
        <v>108</v>
      </c>
      <c r="C116" s="5" t="s">
        <v>111</v>
      </c>
      <c r="D116" s="6">
        <f>SUM(9+1)</f>
        <v>10</v>
      </c>
      <c r="E116" s="6">
        <f>SUM(10,'[1]concentrado total'!$AA$39)</f>
        <v>12</v>
      </c>
      <c r="F116" s="7">
        <f>SUM(10850+3000)</f>
        <v>13850</v>
      </c>
    </row>
    <row r="117" spans="1:6" x14ac:dyDescent="0.25">
      <c r="A117" s="18">
        <v>2</v>
      </c>
      <c r="B117" s="5">
        <v>109</v>
      </c>
      <c r="C117" s="5" t="s">
        <v>112</v>
      </c>
      <c r="D117" s="6">
        <v>0</v>
      </c>
      <c r="E117" s="6">
        <v>2</v>
      </c>
      <c r="F117" s="7">
        <v>0</v>
      </c>
    </row>
    <row r="118" spans="1:6" x14ac:dyDescent="0.25">
      <c r="A118" s="11">
        <v>7</v>
      </c>
      <c r="B118" s="5">
        <v>110</v>
      </c>
      <c r="C118" s="5" t="s">
        <v>113</v>
      </c>
      <c r="D118" s="6">
        <v>0</v>
      </c>
      <c r="E118" s="6">
        <v>1</v>
      </c>
      <c r="F118" s="7">
        <v>0</v>
      </c>
    </row>
    <row r="119" spans="1:6" x14ac:dyDescent="0.25">
      <c r="A119" s="4">
        <v>3</v>
      </c>
      <c r="B119" s="5">
        <v>111</v>
      </c>
      <c r="C119" s="5" t="s">
        <v>114</v>
      </c>
      <c r="D119" s="6">
        <v>0</v>
      </c>
      <c r="E119" s="6">
        <v>0</v>
      </c>
      <c r="F119" s="7">
        <v>0</v>
      </c>
    </row>
    <row r="120" spans="1:6" x14ac:dyDescent="0.25">
      <c r="A120" s="17">
        <v>5</v>
      </c>
      <c r="B120" s="5">
        <v>112</v>
      </c>
      <c r="C120" s="5" t="s">
        <v>115</v>
      </c>
      <c r="D120" s="6">
        <v>0</v>
      </c>
      <c r="E120" s="6">
        <v>0</v>
      </c>
      <c r="F120" s="7">
        <v>0</v>
      </c>
    </row>
    <row r="121" spans="1:6" x14ac:dyDescent="0.25">
      <c r="A121" s="8">
        <v>12</v>
      </c>
      <c r="B121" s="5">
        <v>114</v>
      </c>
      <c r="C121" s="5" t="s">
        <v>116</v>
      </c>
      <c r="D121" s="6">
        <f>SUM(5+2)</f>
        <v>7</v>
      </c>
      <c r="E121" s="6">
        <f>SUM(1+1)</f>
        <v>2</v>
      </c>
      <c r="F121" s="7">
        <f>SUM(5000+3300)</f>
        <v>8300</v>
      </c>
    </row>
    <row r="122" spans="1:6" x14ac:dyDescent="0.25">
      <c r="A122" s="15">
        <v>1</v>
      </c>
      <c r="B122" s="5">
        <v>115</v>
      </c>
      <c r="C122" s="5" t="s">
        <v>117</v>
      </c>
      <c r="D122" s="6">
        <v>1</v>
      </c>
      <c r="E122" s="6">
        <v>2</v>
      </c>
      <c r="F122" s="7">
        <v>1934</v>
      </c>
    </row>
    <row r="123" spans="1:6" x14ac:dyDescent="0.25">
      <c r="A123" s="18">
        <v>2</v>
      </c>
      <c r="B123" s="5">
        <v>116</v>
      </c>
      <c r="C123" s="5" t="s">
        <v>118</v>
      </c>
      <c r="D123" s="6">
        <v>0</v>
      </c>
      <c r="E123" s="6">
        <v>0</v>
      </c>
      <c r="F123" s="7">
        <v>0</v>
      </c>
    </row>
    <row r="124" spans="1:6" x14ac:dyDescent="0.25">
      <c r="A124" s="14">
        <v>8</v>
      </c>
      <c r="B124" s="5">
        <v>68</v>
      </c>
      <c r="C124" s="5" t="s">
        <v>119</v>
      </c>
      <c r="D124" s="6">
        <v>0</v>
      </c>
      <c r="E124" s="6">
        <v>0</v>
      </c>
      <c r="F124" s="7">
        <v>0</v>
      </c>
    </row>
    <row r="125" spans="1:6" ht="23.25" x14ac:dyDescent="0.25">
      <c r="A125" s="4">
        <v>3</v>
      </c>
      <c r="B125" s="5">
        <v>118</v>
      </c>
      <c r="C125" s="5" t="s">
        <v>120</v>
      </c>
      <c r="D125" s="6">
        <v>5</v>
      </c>
      <c r="E125" s="6">
        <f>SUM(2,'[1]concentrado total'!$AA$40)</f>
        <v>3</v>
      </c>
      <c r="F125" s="7">
        <v>4750</v>
      </c>
    </row>
    <row r="126" spans="1:6" x14ac:dyDescent="0.25">
      <c r="A126" s="10">
        <v>6</v>
      </c>
      <c r="B126" s="5">
        <v>119</v>
      </c>
      <c r="C126" s="5" t="s">
        <v>121</v>
      </c>
      <c r="D126" s="6">
        <v>26</v>
      </c>
      <c r="E126" s="6">
        <v>15</v>
      </c>
      <c r="F126" s="7">
        <f>SUM(22778+3188.7+3500)</f>
        <v>29466.7</v>
      </c>
    </row>
    <row r="127" spans="1:6" x14ac:dyDescent="0.25">
      <c r="A127" s="8">
        <v>12</v>
      </c>
      <c r="B127" s="5">
        <v>120</v>
      </c>
      <c r="C127" s="5" t="s">
        <v>122</v>
      </c>
      <c r="D127" s="6">
        <f>SUM(736+26+17+12+30+5+24+5+56+32+15+30+3+13+22+31+6)</f>
        <v>1063</v>
      </c>
      <c r="E127" s="6">
        <v>330</v>
      </c>
      <c r="F127" s="7">
        <f>SUM(465147.18+40238+20533+17096+306.64+6056.14+10137.6+40385+766.6+9735.82+2004.61+46019.24+17262.75+3488.03+2600+14775.61+39225+37752.41)</f>
        <v>773529.62999999989</v>
      </c>
    </row>
    <row r="128" spans="1:6" x14ac:dyDescent="0.25">
      <c r="A128" s="10">
        <v>6</v>
      </c>
      <c r="B128" s="5">
        <v>121</v>
      </c>
      <c r="C128" s="5" t="s">
        <v>123</v>
      </c>
      <c r="D128" s="6">
        <v>2</v>
      </c>
      <c r="E128" s="6">
        <v>4</v>
      </c>
      <c r="F128" s="7">
        <v>4947</v>
      </c>
    </row>
    <row r="129" spans="1:6" x14ac:dyDescent="0.25">
      <c r="A129" s="10">
        <v>6</v>
      </c>
      <c r="B129" s="5">
        <v>122</v>
      </c>
      <c r="C129" s="5" t="s">
        <v>124</v>
      </c>
      <c r="D129" s="6">
        <v>0</v>
      </c>
      <c r="E129" s="6">
        <v>0</v>
      </c>
      <c r="F129" s="7">
        <v>0</v>
      </c>
    </row>
    <row r="130" spans="1:6" x14ac:dyDescent="0.25">
      <c r="A130" s="13">
        <v>4</v>
      </c>
      <c r="B130" s="5">
        <v>123</v>
      </c>
      <c r="C130" s="5" t="s">
        <v>125</v>
      </c>
      <c r="D130" s="6">
        <v>1</v>
      </c>
      <c r="E130" s="6">
        <v>1</v>
      </c>
      <c r="F130" s="7">
        <v>10000</v>
      </c>
    </row>
    <row r="131" spans="1:6" ht="23.25" x14ac:dyDescent="0.25">
      <c r="A131" s="10">
        <v>6</v>
      </c>
      <c r="B131" s="5">
        <v>23</v>
      </c>
      <c r="C131" s="5" t="s">
        <v>126</v>
      </c>
      <c r="D131" s="6">
        <f>SUM(5+3+2+8+1)</f>
        <v>19</v>
      </c>
      <c r="E131" s="6">
        <f>SUM(12+1)</f>
        <v>13</v>
      </c>
      <c r="F131" s="7">
        <f>SUM(9526.9+5000+2950+5760)</f>
        <v>23236.9</v>
      </c>
    </row>
    <row r="132" spans="1:6" x14ac:dyDescent="0.25">
      <c r="A132" s="8">
        <v>12</v>
      </c>
      <c r="B132" s="5">
        <v>124</v>
      </c>
      <c r="C132" s="5" t="s">
        <v>127</v>
      </c>
      <c r="D132" s="6">
        <v>10</v>
      </c>
      <c r="E132" s="6">
        <f>SUM(7+1+'[1]concentrado total'!$AA$42)</f>
        <v>9</v>
      </c>
      <c r="F132" s="7">
        <v>19520</v>
      </c>
    </row>
    <row r="133" spans="1:6" x14ac:dyDescent="0.25">
      <c r="A133" s="24"/>
      <c r="B133" s="19"/>
      <c r="C133" s="22" t="s">
        <v>132</v>
      </c>
      <c r="D133">
        <v>54</v>
      </c>
      <c r="E133" s="20">
        <v>28</v>
      </c>
      <c r="F133" s="26">
        <v>4268.0600000000004</v>
      </c>
    </row>
    <row r="134" spans="1:6" x14ac:dyDescent="0.25">
      <c r="A134" s="24"/>
      <c r="B134" s="21"/>
      <c r="C134" s="23" t="s">
        <v>133</v>
      </c>
      <c r="D134" s="6">
        <f>SUM(83+12+1+2+2+1+1+2+1+9+1+1+7+3+2+2)</f>
        <v>130</v>
      </c>
      <c r="E134" s="20">
        <v>222</v>
      </c>
      <c r="F134" s="26">
        <f>SUM(154543.26+20000+5000+702.5+1283+656+440+1275+5000+14000+2600+721+1210+8500+255+2500+10850)</f>
        <v>229535.76</v>
      </c>
    </row>
    <row r="135" spans="1:6" x14ac:dyDescent="0.25">
      <c r="A135" s="24"/>
      <c r="B135" s="19"/>
      <c r="C135" s="22" t="s">
        <v>134</v>
      </c>
      <c r="D135" s="6">
        <v>3</v>
      </c>
      <c r="E135" s="20">
        <v>3</v>
      </c>
      <c r="F135" s="26">
        <v>15</v>
      </c>
    </row>
    <row r="136" spans="1:6" x14ac:dyDescent="0.25">
      <c r="A136" s="24"/>
      <c r="B136" s="19"/>
      <c r="C136" s="22" t="s">
        <v>135</v>
      </c>
      <c r="D136" s="6">
        <f>SUM(D8:D135)</f>
        <v>5853</v>
      </c>
      <c r="E136" s="25">
        <f>SUM(E8:E135)</f>
        <v>2263</v>
      </c>
      <c r="F136" s="27">
        <f>SUM(F8:F135)</f>
        <v>4810573.66</v>
      </c>
    </row>
    <row r="138" spans="1:6" ht="25.5" customHeight="1" x14ac:dyDescent="0.25">
      <c r="A138" s="32" t="s">
        <v>139</v>
      </c>
      <c r="B138" s="32"/>
      <c r="C138" s="32"/>
      <c r="D138" s="32"/>
      <c r="E138" s="32"/>
      <c r="F138" s="32"/>
    </row>
    <row r="139" spans="1:6" ht="409.5" customHeight="1" x14ac:dyDescent="0.25">
      <c r="A139" s="31" t="s">
        <v>140</v>
      </c>
      <c r="B139" s="31"/>
      <c r="C139" s="31"/>
    </row>
    <row r="140" spans="1:6" x14ac:dyDescent="0.25">
      <c r="A140" s="31"/>
      <c r="B140" s="31"/>
      <c r="C140" s="31"/>
    </row>
    <row r="141" spans="1:6" x14ac:dyDescent="0.25">
      <c r="A141" s="31"/>
      <c r="B141" s="31"/>
      <c r="C141" s="31"/>
    </row>
    <row r="142" spans="1:6" x14ac:dyDescent="0.25">
      <c r="A142" s="31"/>
      <c r="B142" s="31"/>
      <c r="C142" s="31"/>
    </row>
    <row r="143" spans="1:6" ht="3.75" customHeight="1" x14ac:dyDescent="0.25">
      <c r="A143" s="31"/>
      <c r="B143" s="31"/>
      <c r="C143" s="31"/>
    </row>
    <row r="144" spans="1:6" hidden="1" x14ac:dyDescent="0.25">
      <c r="A144" s="31"/>
      <c r="B144" s="31"/>
      <c r="C144" s="31"/>
    </row>
    <row r="145" spans="1:3" hidden="1" x14ac:dyDescent="0.25">
      <c r="A145" s="31"/>
      <c r="B145" s="31"/>
      <c r="C145" s="31"/>
    </row>
    <row r="146" spans="1:3" hidden="1" x14ac:dyDescent="0.25">
      <c r="A146" s="31"/>
      <c r="B146" s="31"/>
      <c r="C146" s="31"/>
    </row>
    <row r="147" spans="1:3" hidden="1" x14ac:dyDescent="0.25">
      <c r="A147" s="31"/>
      <c r="B147" s="31"/>
      <c r="C147" s="31"/>
    </row>
    <row r="148" spans="1:3" hidden="1" x14ac:dyDescent="0.25">
      <c r="A148" s="31"/>
      <c r="B148" s="31"/>
      <c r="C148" s="31"/>
    </row>
    <row r="149" spans="1:3" hidden="1" x14ac:dyDescent="0.25">
      <c r="A149" s="31"/>
      <c r="B149" s="31"/>
      <c r="C149" s="31"/>
    </row>
    <row r="150" spans="1:3" hidden="1" x14ac:dyDescent="0.25">
      <c r="A150" s="31"/>
      <c r="B150" s="31"/>
      <c r="C150" s="31"/>
    </row>
    <row r="151" spans="1:3" hidden="1" x14ac:dyDescent="0.25">
      <c r="A151" s="31"/>
      <c r="B151" s="31"/>
      <c r="C151" s="31"/>
    </row>
    <row r="152" spans="1:3" hidden="1" x14ac:dyDescent="0.25">
      <c r="A152" s="31"/>
      <c r="B152" s="31"/>
      <c r="C152" s="31"/>
    </row>
    <row r="153" spans="1:3" hidden="1" x14ac:dyDescent="0.25">
      <c r="A153" s="31"/>
      <c r="B153" s="31"/>
      <c r="C153" s="31"/>
    </row>
  </sheetData>
  <mergeCells count="8">
    <mergeCell ref="A139:C153"/>
    <mergeCell ref="A1:F1"/>
    <mergeCell ref="A2:F2"/>
    <mergeCell ref="A3:F3"/>
    <mergeCell ref="A138:F138"/>
    <mergeCell ref="A4:F4"/>
    <mergeCell ref="D6:F6"/>
    <mergeCell ref="A5:F5"/>
  </mergeCells>
  <printOptions horizontalCentered="1" verticalCentered="1"/>
  <pageMargins left="0.70866141732283472" right="0.70866141732283472" top="0.35433070866141736" bottom="0.35433070866141736" header="0" footer="0"/>
  <pageSetup paperSize="5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DTSV OPERATIVO</vt:lpstr>
      <vt:lpstr>'DTSV OPERATIVO'!_ftn1</vt:lpstr>
      <vt:lpstr>'DTSV OPERATIVO'!_ftnref1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Huerta Chávez Irma Alicia</dc:creator>
  <cp:lastModifiedBy>García Herrera Erika Elizabeth</cp:lastModifiedBy>
  <cp:lastPrinted>2015-08-28T14:17:44Z</cp:lastPrinted>
  <dcterms:created xsi:type="dcterms:W3CDTF">2013-10-09T16:01:49Z</dcterms:created>
  <dcterms:modified xsi:type="dcterms:W3CDTF">2015-08-28T16:55:31Z</dcterms:modified>
</cp:coreProperties>
</file>